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2" activeTab="8"/>
  </bookViews>
  <sheets>
    <sheet name="①SUMIF(1)" sheetId="1" r:id="rId1"/>
    <sheet name="①SUMIF(2)" sheetId="2" r:id="rId2"/>
    <sheet name="①SUMIF(3)" sheetId="3" r:id="rId3"/>
    <sheet name="②SUMIF(1)" sheetId="4" r:id="rId4"/>
    <sheet name="②SUMIF(2)" sheetId="5" r:id="rId5"/>
    <sheet name="②SUMIF(3)" sheetId="6" r:id="rId6"/>
    <sheet name="③SUMIF(1)" sheetId="7" r:id="rId7"/>
    <sheet name="③SUMIF(2)" sheetId="8" r:id="rId8"/>
    <sheet name="③SUMIF(3)" sheetId="9" r:id="rId9"/>
    <sheet name="③SUMIF(4)" sheetId="10" r:id="rId10"/>
    <sheet name="③SUMIF(5)" sheetId="11" r:id="rId11"/>
    <sheet name="Sheet2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<sst xmlns="http://schemas.openxmlformats.org/spreadsheetml/2006/main" count="236" uniqueCount="73">
  <si>
    <t>商品名</t>
  </si>
  <si>
    <t>納品日</t>
  </si>
  <si>
    <t>数量</t>
  </si>
  <si>
    <t>売上金額</t>
  </si>
  <si>
    <t>条件</t>
  </si>
  <si>
    <t>マウス</t>
  </si>
  <si>
    <t>ケーブル</t>
  </si>
  <si>
    <t>マウスパット</t>
  </si>
  <si>
    <t>店舗</t>
  </si>
  <si>
    <t>東京</t>
  </si>
  <si>
    <t>渋谷</t>
  </si>
  <si>
    <t>大手町</t>
  </si>
  <si>
    <t>神田</t>
  </si>
  <si>
    <t>青山</t>
  </si>
  <si>
    <t>代々木</t>
  </si>
  <si>
    <t>目黒</t>
  </si>
  <si>
    <t>上野</t>
  </si>
  <si>
    <t>条件</t>
  </si>
  <si>
    <t>項目</t>
  </si>
  <si>
    <t>「マウスパット」または「ケーブル」</t>
  </si>
  <si>
    <t>「150」または「210」</t>
  </si>
  <si>
    <t>2017/5/2」または「2017/5/3」</t>
  </si>
  <si>
    <t>「渋谷」または「青山」または「代々木」</t>
  </si>
  <si>
    <t>「渋谷」または「目白」または「神田」</t>
  </si>
  <si>
    <t>「マウス」または「ケーブル」</t>
  </si>
  <si>
    <t>「100」または「300」</t>
  </si>
  <si>
    <t>「2017/5/8」または「2017/5/12」</t>
  </si>
  <si>
    <t>「東京」または「上野」または「目黒」</t>
  </si>
  <si>
    <t>「大崎」または「上野」または「東京」</t>
  </si>
  <si>
    <t>配達日</t>
  </si>
  <si>
    <t>ルーター</t>
  </si>
  <si>
    <t>500,00</t>
  </si>
  <si>
    <t>メモリーカード</t>
  </si>
  <si>
    <t>USBケーブル</t>
  </si>
  <si>
    <t>LANケーブル</t>
  </si>
  <si>
    <t>数量が「100」以下</t>
  </si>
  <si>
    <t>マウス</t>
  </si>
  <si>
    <t>「マウス」以外</t>
  </si>
  <si>
    <t>「160」</t>
  </si>
  <si>
    <t>「250」以上</t>
  </si>
  <si>
    <t>セル「A3」</t>
  </si>
  <si>
    <t>2017/5/8以上</t>
  </si>
  <si>
    <t>「マウス」を含む</t>
  </si>
  <si>
    <t>ルーター</t>
  </si>
  <si>
    <t>「ルーター」以外</t>
  </si>
  <si>
    <t>セル「A5」</t>
  </si>
  <si>
    <t>2017/8/12以外</t>
  </si>
  <si>
    <t>「ケーブル」を含む</t>
  </si>
  <si>
    <t>商品名＆店舗</t>
  </si>
  <si>
    <t>ルーター東京</t>
  </si>
  <si>
    <t>USBケーブル渋谷</t>
  </si>
  <si>
    <t>USBケーブル大手町</t>
  </si>
  <si>
    <t>LANケーブル神田</t>
  </si>
  <si>
    <t>LANケーブル代々木</t>
  </si>
  <si>
    <t>ルーター上野</t>
  </si>
  <si>
    <t>ルーター東京</t>
  </si>
  <si>
    <t>単価</t>
  </si>
  <si>
    <t>りんご(国内産)</t>
  </si>
  <si>
    <t>りんご(輸入品)</t>
  </si>
  <si>
    <t>オレンジ</t>
  </si>
  <si>
    <t>「りんご(国内産)</t>
  </si>
  <si>
    <t>「りんご(国内産)」以外</t>
  </si>
  <si>
    <t>未入力</t>
  </si>
  <si>
    <t>未入力でない</t>
  </si>
  <si>
    <t>「りんご」を含む</t>
  </si>
  <si>
    <t>セル「C8」を超える</t>
  </si>
  <si>
    <t>セル「A8」以外</t>
  </si>
  <si>
    <t>日付を指定</t>
  </si>
  <si>
    <t>今日以降</t>
  </si>
  <si>
    <t>日付をセル参照B7以降</t>
  </si>
  <si>
    <t>2017/12/30～2018/1/5</t>
  </si>
  <si>
    <t>日付セルを参照</t>
  </si>
  <si>
    <t>期間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</si>
</sst>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38" fontId="0" fillId="0" borderId="1" xfId="16" applyBorder="1" applyAlignment="1">
      <alignment/>
    </xf>
    <xf numFmtId="0" fontId="0" fillId="3" borderId="1" xfId="0" applyFill="1" applyBorder="1" applyAlignment="1">
      <alignment horizontal="center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/>
    </xf>
    <xf numFmtId="38" fontId="0" fillId="0" borderId="1" xfId="16" applyBorder="1" applyAlignment="1">
      <alignment horizontal="right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38" fontId="0" fillId="0" borderId="0" xfId="0" applyNumberFormat="1" applyAlignment="1">
      <alignment/>
    </xf>
    <xf numFmtId="14" fontId="0" fillId="0" borderId="1" xfId="0" applyNumberFormat="1" applyBorder="1" applyAlignment="1">
      <alignment horizontal="right" wrapText="1"/>
    </xf>
    <xf numFmtId="0" fontId="0" fillId="4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"/>
  <sheetViews>
    <sheetView workbookViewId="0" topLeftCell="A1">
      <selection activeCell="F1" sqref="F1:G1"/>
    </sheetView>
  </sheetViews>
  <sheetFormatPr defaultColWidth="9.00390625" defaultRowHeight="13.5"/>
  <cols>
    <col min="1" max="4" width="10.625" style="0" customWidth="1"/>
    <col min="5" max="5" width="4.00390625" style="0" customWidth="1"/>
    <col min="6" max="6" width="10.625" style="0" customWidth="1"/>
    <col min="7" max="7" width="13.875" style="0" customWidth="1"/>
    <col min="8" max="8" width="10.625" style="0" customWidth="1"/>
  </cols>
  <sheetData>
    <row r="1" spans="1:8" ht="13.5">
      <c r="A1" s="11" t="s">
        <v>0</v>
      </c>
      <c r="B1" s="11" t="s">
        <v>1</v>
      </c>
      <c r="C1" s="11" t="s">
        <v>2</v>
      </c>
      <c r="D1" s="11" t="s">
        <v>3</v>
      </c>
      <c r="E1" s="10"/>
      <c r="F1" s="11" t="s">
        <v>18</v>
      </c>
      <c r="G1" s="11" t="s">
        <v>4</v>
      </c>
      <c r="H1" s="11" t="s">
        <v>3</v>
      </c>
    </row>
    <row r="2" spans="1:8" ht="13.5">
      <c r="A2" s="5" t="s">
        <v>5</v>
      </c>
      <c r="B2" s="6">
        <v>42858</v>
      </c>
      <c r="C2" s="7">
        <v>100</v>
      </c>
      <c r="D2" s="8">
        <v>80000</v>
      </c>
      <c r="E2" s="4"/>
      <c r="F2" s="19" t="s">
        <v>0</v>
      </c>
      <c r="G2" s="5" t="s">
        <v>36</v>
      </c>
      <c r="H2" s="12">
        <f>SUMIF(A2:A8,"マウス",D2:D8)</f>
        <v>227000</v>
      </c>
    </row>
    <row r="3" spans="1:8" ht="13.5">
      <c r="A3" s="5" t="s">
        <v>6</v>
      </c>
      <c r="B3" s="6">
        <v>42857</v>
      </c>
      <c r="C3" s="7">
        <v>160</v>
      </c>
      <c r="D3" s="8">
        <v>112000</v>
      </c>
      <c r="E3" s="4"/>
      <c r="F3" s="19" t="s">
        <v>0</v>
      </c>
      <c r="G3" s="5" t="s">
        <v>37</v>
      </c>
      <c r="H3" s="12">
        <f>SUMIF(A2:A8,"&lt;&gt;マウス",D2:D8)</f>
        <v>295000</v>
      </c>
    </row>
    <row r="4" spans="1:8" ht="13.5">
      <c r="A4" s="5" t="s">
        <v>7</v>
      </c>
      <c r="B4" s="6">
        <v>42867</v>
      </c>
      <c r="C4" s="7">
        <v>300</v>
      </c>
      <c r="D4" s="8">
        <v>30000</v>
      </c>
      <c r="E4" s="4"/>
      <c r="F4" s="19" t="s">
        <v>2</v>
      </c>
      <c r="G4" s="5" t="s">
        <v>38</v>
      </c>
      <c r="H4" s="12">
        <f>SUMIF(C2:C8,160,D2:D8)</f>
        <v>112000</v>
      </c>
    </row>
    <row r="5" spans="1:8" ht="13.5">
      <c r="A5" s="5" t="s">
        <v>7</v>
      </c>
      <c r="B5" s="6">
        <v>42863</v>
      </c>
      <c r="C5" s="7">
        <v>250</v>
      </c>
      <c r="D5" s="8">
        <v>25000</v>
      </c>
      <c r="E5" s="4"/>
      <c r="F5" s="19" t="s">
        <v>2</v>
      </c>
      <c r="G5" s="5" t="s">
        <v>39</v>
      </c>
      <c r="H5" s="12">
        <f>SUMIF(C2:C8,"&gt;=250",D2:D8)</f>
        <v>55000</v>
      </c>
    </row>
    <row r="6" spans="1:8" ht="13.5">
      <c r="A6" s="5" t="s">
        <v>6</v>
      </c>
      <c r="B6" s="6">
        <v>42858</v>
      </c>
      <c r="C6" s="7">
        <v>150</v>
      </c>
      <c r="D6" s="8">
        <v>105000</v>
      </c>
      <c r="E6" s="4"/>
      <c r="F6" s="19" t="s">
        <v>0</v>
      </c>
      <c r="G6" s="5" t="s">
        <v>40</v>
      </c>
      <c r="H6" s="12">
        <f>SUMIF(A2:A8,A3,D2:D8)</f>
        <v>217000</v>
      </c>
    </row>
    <row r="7" spans="1:8" ht="13.5">
      <c r="A7" s="5" t="s">
        <v>5</v>
      </c>
      <c r="B7" s="6">
        <v>42867</v>
      </c>
      <c r="C7" s="7">
        <v>210</v>
      </c>
      <c r="D7" s="8">
        <v>147000</v>
      </c>
      <c r="E7" s="4"/>
      <c r="F7" s="19" t="s">
        <v>1</v>
      </c>
      <c r="G7" s="14">
        <v>42867</v>
      </c>
      <c r="H7" s="12">
        <f>SUMIF(B2:B8,"2017/5/12",D2:D8)</f>
        <v>177000</v>
      </c>
    </row>
    <row r="8" spans="1:8" ht="13.5">
      <c r="A8" s="5" t="s">
        <v>7</v>
      </c>
      <c r="B8" s="6">
        <v>42858</v>
      </c>
      <c r="C8" s="7">
        <v>230</v>
      </c>
      <c r="D8" s="8">
        <v>23000</v>
      </c>
      <c r="E8" s="4"/>
      <c r="F8" s="19" t="s">
        <v>1</v>
      </c>
      <c r="G8" s="5" t="s">
        <v>41</v>
      </c>
      <c r="H8" s="12">
        <f>SUMIF(B2:B8,"&gt;=2017/5/8",D2:D8)</f>
        <v>202000</v>
      </c>
    </row>
    <row r="9" spans="1:8" ht="13.5">
      <c r="A9" s="5" t="s">
        <v>7</v>
      </c>
      <c r="B9" s="6">
        <v>42857</v>
      </c>
      <c r="C9" s="7">
        <v>100</v>
      </c>
      <c r="D9" s="8">
        <v>10000</v>
      </c>
      <c r="E9" s="4"/>
      <c r="F9" s="19" t="s">
        <v>0</v>
      </c>
      <c r="G9" s="5" t="s">
        <v>42</v>
      </c>
      <c r="H9" s="12">
        <f>SUMIF(A2:A9,"*マウス*",D2:D9)</f>
        <v>315000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J27" sqref="J27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J27" sqref="J27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14"/>
  <sheetViews>
    <sheetView workbookViewId="0" topLeftCell="A1">
      <selection activeCell="G1" sqref="G1"/>
    </sheetView>
  </sheetViews>
  <sheetFormatPr defaultColWidth="9.00390625" defaultRowHeight="13.5"/>
  <cols>
    <col min="1" max="5" width="10.625" style="0" customWidth="1"/>
    <col min="6" max="6" width="4.125" style="0" customWidth="1"/>
    <col min="7" max="7" width="10.625" style="0" customWidth="1"/>
    <col min="8" max="8" width="29.75390625" style="0" customWidth="1"/>
    <col min="9" max="9" width="10.625" style="0" customWidth="1"/>
  </cols>
  <sheetData>
    <row r="1" spans="1:9" ht="13.5">
      <c r="A1" s="13" t="s">
        <v>0</v>
      </c>
      <c r="B1" s="13" t="s">
        <v>8</v>
      </c>
      <c r="C1" s="13" t="s">
        <v>1</v>
      </c>
      <c r="D1" s="13" t="s">
        <v>2</v>
      </c>
      <c r="E1" s="13" t="s">
        <v>3</v>
      </c>
      <c r="F1" s="10"/>
      <c r="G1" s="13" t="s">
        <v>18</v>
      </c>
      <c r="H1" s="13" t="s">
        <v>17</v>
      </c>
      <c r="I1" s="13" t="s">
        <v>3</v>
      </c>
    </row>
    <row r="2" spans="1:9" ht="13.5">
      <c r="A2" s="5" t="s">
        <v>5</v>
      </c>
      <c r="B2" s="5" t="s">
        <v>9</v>
      </c>
      <c r="C2" s="14">
        <v>42858</v>
      </c>
      <c r="D2" s="7">
        <v>100</v>
      </c>
      <c r="E2" s="8">
        <v>80000</v>
      </c>
      <c r="F2" s="4"/>
      <c r="G2" s="9" t="s">
        <v>0</v>
      </c>
      <c r="H2" s="15" t="s">
        <v>19</v>
      </c>
      <c r="I2" s="12">
        <f>SUMIF(A2:A9,"マウスパット",E2:E9)+SUMIF(A2:A9,"ケーブル",E2:E9)</f>
        <v>305000</v>
      </c>
    </row>
    <row r="3" spans="1:9" ht="13.5">
      <c r="A3" s="5" t="s">
        <v>6</v>
      </c>
      <c r="B3" s="5" t="s">
        <v>10</v>
      </c>
      <c r="C3" s="14">
        <v>42857</v>
      </c>
      <c r="D3" s="7">
        <v>160</v>
      </c>
      <c r="E3" s="8">
        <v>112000</v>
      </c>
      <c r="F3" s="4"/>
      <c r="G3" s="9" t="s">
        <v>2</v>
      </c>
      <c r="H3" s="15" t="s">
        <v>20</v>
      </c>
      <c r="I3" s="12">
        <f>SUMIF(D2:D9,150,E2:E9)+SUMIF(D2:D9,210,E2:E9)</f>
        <v>252000</v>
      </c>
    </row>
    <row r="4" spans="1:9" ht="13.5">
      <c r="A4" s="5" t="s">
        <v>7</v>
      </c>
      <c r="B4" s="5" t="s">
        <v>11</v>
      </c>
      <c r="C4" s="14">
        <v>42867</v>
      </c>
      <c r="D4" s="7">
        <v>300</v>
      </c>
      <c r="E4" s="8">
        <v>30000</v>
      </c>
      <c r="F4" s="4"/>
      <c r="G4" s="9" t="s">
        <v>1</v>
      </c>
      <c r="H4" s="15" t="s">
        <v>21</v>
      </c>
      <c r="I4" s="12">
        <f>SUMIF(C2:C9,"2017/5/2",E2:E9)+SUMIF(C2:C9,"2017/5/3",E2:E9)</f>
        <v>330000</v>
      </c>
    </row>
    <row r="5" spans="1:9" ht="13.5">
      <c r="A5" s="5" t="s">
        <v>7</v>
      </c>
      <c r="B5" s="5" t="s">
        <v>12</v>
      </c>
      <c r="C5" s="14">
        <v>42863</v>
      </c>
      <c r="D5" s="7">
        <v>250</v>
      </c>
      <c r="E5" s="8">
        <v>25000</v>
      </c>
      <c r="F5" s="4"/>
      <c r="G5" s="9" t="s">
        <v>8</v>
      </c>
      <c r="H5" s="15" t="s">
        <v>22</v>
      </c>
      <c r="I5" s="16">
        <v>364000</v>
      </c>
    </row>
    <row r="6" spans="1:9" ht="13.5">
      <c r="A6" s="5" t="s">
        <v>6</v>
      </c>
      <c r="B6" s="5" t="s">
        <v>13</v>
      </c>
      <c r="C6" s="14">
        <v>42858</v>
      </c>
      <c r="D6" s="7">
        <v>150</v>
      </c>
      <c r="E6" s="8">
        <v>105000</v>
      </c>
      <c r="F6" s="4"/>
      <c r="G6" s="9" t="s">
        <v>8</v>
      </c>
      <c r="H6" s="15" t="s">
        <v>23</v>
      </c>
      <c r="I6" s="16">
        <v>137000</v>
      </c>
    </row>
    <row r="7" spans="1:9" ht="13.5">
      <c r="A7" s="5" t="s">
        <v>5</v>
      </c>
      <c r="B7" s="5" t="s">
        <v>14</v>
      </c>
      <c r="C7" s="14">
        <v>42867</v>
      </c>
      <c r="D7" s="7">
        <v>210</v>
      </c>
      <c r="E7" s="8">
        <v>147000</v>
      </c>
      <c r="F7" s="4"/>
      <c r="G7" s="4"/>
      <c r="H7" s="4"/>
      <c r="I7" s="1"/>
    </row>
    <row r="8" spans="1:9" ht="13.5">
      <c r="A8" s="5" t="s">
        <v>7</v>
      </c>
      <c r="B8" s="5" t="s">
        <v>15</v>
      </c>
      <c r="C8" s="14">
        <v>42858</v>
      </c>
      <c r="D8" s="7">
        <v>230</v>
      </c>
      <c r="E8" s="8">
        <v>23000</v>
      </c>
      <c r="F8" s="4"/>
      <c r="G8" s="4"/>
      <c r="H8" s="4"/>
      <c r="I8" s="1"/>
    </row>
    <row r="9" spans="1:9" ht="13.5">
      <c r="A9" s="5" t="s">
        <v>7</v>
      </c>
      <c r="B9" s="5" t="s">
        <v>16</v>
      </c>
      <c r="C9" s="14">
        <v>42857</v>
      </c>
      <c r="D9" s="7">
        <v>100</v>
      </c>
      <c r="E9" s="8">
        <v>10000</v>
      </c>
      <c r="F9" s="4"/>
      <c r="G9" s="4"/>
      <c r="H9" s="4"/>
      <c r="I9" s="1"/>
    </row>
    <row r="13" ht="13.5">
      <c r="E13" s="3"/>
    </row>
    <row r="14" ht="13.5">
      <c r="E14" s="3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13"/>
  <sheetViews>
    <sheetView workbookViewId="0" topLeftCell="A1">
      <selection activeCell="I2" sqref="I2"/>
    </sheetView>
  </sheetViews>
  <sheetFormatPr defaultColWidth="9.00390625" defaultRowHeight="13.5"/>
  <cols>
    <col min="1" max="5" width="10.625" style="0" customWidth="1"/>
    <col min="6" max="6" width="4.00390625" style="0" customWidth="1"/>
    <col min="7" max="7" width="10.625" style="0" customWidth="1"/>
    <col min="8" max="8" width="28.625" style="0" customWidth="1"/>
    <col min="9" max="9" width="10.625" style="0" customWidth="1"/>
  </cols>
  <sheetData>
    <row r="1" spans="1:9" s="17" customFormat="1" ht="13.5">
      <c r="A1" s="18" t="s">
        <v>0</v>
      </c>
      <c r="B1" s="18" t="s">
        <v>8</v>
      </c>
      <c r="C1" s="18" t="s">
        <v>1</v>
      </c>
      <c r="D1" s="18" t="s">
        <v>2</v>
      </c>
      <c r="E1" s="18" t="s">
        <v>3</v>
      </c>
      <c r="F1" s="10"/>
      <c r="G1" s="18" t="s">
        <v>18</v>
      </c>
      <c r="H1" s="18" t="s">
        <v>17</v>
      </c>
      <c r="I1" s="18" t="s">
        <v>3</v>
      </c>
    </row>
    <row r="2" spans="1:9" ht="13.5">
      <c r="A2" s="5" t="s">
        <v>5</v>
      </c>
      <c r="B2" s="5" t="s">
        <v>9</v>
      </c>
      <c r="C2" s="14">
        <v>42858</v>
      </c>
      <c r="D2" s="7">
        <v>100</v>
      </c>
      <c r="E2" s="8">
        <v>80000</v>
      </c>
      <c r="F2" s="4"/>
      <c r="G2" s="19" t="s">
        <v>0</v>
      </c>
      <c r="H2" s="15" t="s">
        <v>24</v>
      </c>
      <c r="I2" s="15">
        <f>SUM(SUMIF(A2:A8,{"マウス","ケーブル"},E2:E8))</f>
        <v>444000</v>
      </c>
    </row>
    <row r="3" spans="1:9" ht="13.5">
      <c r="A3" s="5" t="s">
        <v>6</v>
      </c>
      <c r="B3" s="5" t="s">
        <v>10</v>
      </c>
      <c r="C3" s="14">
        <v>42857</v>
      </c>
      <c r="D3" s="7">
        <v>160</v>
      </c>
      <c r="E3" s="8">
        <v>112000</v>
      </c>
      <c r="F3" s="4"/>
      <c r="G3" s="19" t="s">
        <v>2</v>
      </c>
      <c r="H3" s="15" t="s">
        <v>25</v>
      </c>
      <c r="I3" s="12">
        <f>SUM(SUMIF(D2:D9,{100,300},E2:E9))</f>
        <v>120000</v>
      </c>
    </row>
    <row r="4" spans="1:9" ht="13.5">
      <c r="A4" s="5" t="s">
        <v>7</v>
      </c>
      <c r="B4" s="5" t="s">
        <v>11</v>
      </c>
      <c r="C4" s="14">
        <v>42867</v>
      </c>
      <c r="D4" s="7">
        <v>300</v>
      </c>
      <c r="E4" s="8">
        <v>30000</v>
      </c>
      <c r="F4" s="4"/>
      <c r="G4" s="19" t="s">
        <v>1</v>
      </c>
      <c r="H4" s="15" t="s">
        <v>26</v>
      </c>
      <c r="I4" s="12">
        <f>SUM(SUMIF(C1:C8,{"2017/5/8","2017/5/12"},E1:E8))</f>
        <v>202000</v>
      </c>
    </row>
    <row r="5" spans="1:9" ht="13.5">
      <c r="A5" s="5" t="s">
        <v>7</v>
      </c>
      <c r="B5" s="5" t="s">
        <v>12</v>
      </c>
      <c r="C5" s="14">
        <v>42863</v>
      </c>
      <c r="D5" s="7">
        <v>250</v>
      </c>
      <c r="E5" s="8">
        <v>25000</v>
      </c>
      <c r="F5" s="4"/>
      <c r="G5" s="19" t="s">
        <v>8</v>
      </c>
      <c r="H5" s="15" t="s">
        <v>27</v>
      </c>
      <c r="I5" s="12">
        <f>SUM(SUMIF(B2:B9,{"東京","上野","目黒"},E2:E9))</f>
        <v>113000</v>
      </c>
    </row>
    <row r="6" spans="1:9" ht="13.5">
      <c r="A6" s="5" t="s">
        <v>6</v>
      </c>
      <c r="B6" s="5" t="s">
        <v>13</v>
      </c>
      <c r="C6" s="14">
        <v>42858</v>
      </c>
      <c r="D6" s="7">
        <v>150</v>
      </c>
      <c r="E6" s="8">
        <v>105000</v>
      </c>
      <c r="F6" s="4"/>
      <c r="G6" s="19" t="s">
        <v>8</v>
      </c>
      <c r="H6" s="15" t="s">
        <v>28</v>
      </c>
      <c r="I6" s="12">
        <f>SUM(SUMIF(B2:B9,{"大崎","上野","東京"},E2:E9))</f>
        <v>90000</v>
      </c>
    </row>
    <row r="7" spans="1:9" ht="13.5">
      <c r="A7" s="5" t="s">
        <v>5</v>
      </c>
      <c r="B7" s="5" t="s">
        <v>14</v>
      </c>
      <c r="C7" s="14">
        <v>42867</v>
      </c>
      <c r="D7" s="7">
        <v>210</v>
      </c>
      <c r="E7" s="8">
        <v>147000</v>
      </c>
      <c r="F7" s="4"/>
      <c r="G7" s="4"/>
      <c r="H7" s="4"/>
      <c r="I7" s="1"/>
    </row>
    <row r="8" spans="1:9" ht="13.5">
      <c r="A8" s="5" t="s">
        <v>7</v>
      </c>
      <c r="B8" s="5" t="s">
        <v>15</v>
      </c>
      <c r="C8" s="14">
        <v>42858</v>
      </c>
      <c r="D8" s="7">
        <v>230</v>
      </c>
      <c r="E8" s="8">
        <v>23000</v>
      </c>
      <c r="F8" s="4"/>
      <c r="G8" s="4"/>
      <c r="H8" s="4"/>
      <c r="I8" s="1"/>
    </row>
    <row r="9" spans="1:9" ht="13.5">
      <c r="A9" s="5" t="s">
        <v>7</v>
      </c>
      <c r="B9" s="5" t="s">
        <v>16</v>
      </c>
      <c r="C9" s="14">
        <v>42857</v>
      </c>
      <c r="D9" s="7">
        <v>100</v>
      </c>
      <c r="E9" s="8">
        <v>10000</v>
      </c>
      <c r="F9" s="4"/>
      <c r="G9" s="4"/>
      <c r="H9" s="4"/>
      <c r="I9" s="1"/>
    </row>
    <row r="13" ht="13.5">
      <c r="E13" s="3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11"/>
  <sheetViews>
    <sheetView workbookViewId="0" topLeftCell="A1">
      <selection activeCell="F1" sqref="F1"/>
    </sheetView>
  </sheetViews>
  <sheetFormatPr defaultColWidth="9.00390625" defaultRowHeight="13.5"/>
  <cols>
    <col min="1" max="1" width="11.625" style="0" customWidth="1"/>
    <col min="2" max="4" width="10.625" style="0" customWidth="1"/>
    <col min="5" max="5" width="4.00390625" style="0" customWidth="1"/>
    <col min="6" max="6" width="10.625" style="0" customWidth="1"/>
    <col min="7" max="7" width="15.625" style="0" customWidth="1"/>
    <col min="8" max="8" width="10.625" style="0" customWidth="1"/>
  </cols>
  <sheetData>
    <row r="1" spans="1:8" s="17" customFormat="1" ht="13.5">
      <c r="A1" s="18" t="s">
        <v>0</v>
      </c>
      <c r="B1" s="18" t="s">
        <v>29</v>
      </c>
      <c r="C1" s="18" t="s">
        <v>2</v>
      </c>
      <c r="D1" s="18" t="s">
        <v>3</v>
      </c>
      <c r="E1" s="10"/>
      <c r="F1" s="18" t="s">
        <v>18</v>
      </c>
      <c r="G1" s="18" t="s">
        <v>4</v>
      </c>
      <c r="H1" s="18" t="s">
        <v>3</v>
      </c>
    </row>
    <row r="2" spans="1:8" ht="13.5">
      <c r="A2" s="5" t="s">
        <v>30</v>
      </c>
      <c r="B2" s="6">
        <v>42957</v>
      </c>
      <c r="C2" s="7">
        <v>10</v>
      </c>
      <c r="D2" s="16">
        <v>50000</v>
      </c>
      <c r="E2" s="2"/>
      <c r="F2" s="9" t="s">
        <v>0</v>
      </c>
      <c r="G2" s="21" t="s">
        <v>43</v>
      </c>
      <c r="H2" s="12">
        <f>SUMIF(A2:A9,"ルーター",D2:D9)</f>
        <v>110000</v>
      </c>
    </row>
    <row r="3" spans="1:8" ht="13.5">
      <c r="A3" s="5" t="s">
        <v>32</v>
      </c>
      <c r="B3" s="6">
        <v>42959</v>
      </c>
      <c r="C3" s="7">
        <v>35</v>
      </c>
      <c r="D3" s="16">
        <v>52500</v>
      </c>
      <c r="E3" s="2"/>
      <c r="F3" s="9" t="s">
        <v>0</v>
      </c>
      <c r="G3" s="21" t="s">
        <v>44</v>
      </c>
      <c r="H3" s="12">
        <f>SUMIF(A2:A9,"&lt;&gt;ルーター",D2:D9)</f>
        <v>436700</v>
      </c>
    </row>
    <row r="4" spans="1:8" ht="13.5">
      <c r="A4" s="5" t="s">
        <v>33</v>
      </c>
      <c r="B4" s="6">
        <v>42959</v>
      </c>
      <c r="C4" s="7">
        <v>100</v>
      </c>
      <c r="D4" s="8">
        <v>70000</v>
      </c>
      <c r="E4" s="4"/>
      <c r="F4" s="9" t="s">
        <v>2</v>
      </c>
      <c r="G4" s="21">
        <v>100</v>
      </c>
      <c r="H4" s="12">
        <f>SUMIF(C2:C9,100,D2:D9)</f>
        <v>70000</v>
      </c>
    </row>
    <row r="5" spans="1:8" ht="13.5">
      <c r="A5" s="5" t="s">
        <v>34</v>
      </c>
      <c r="B5" s="6">
        <v>42863</v>
      </c>
      <c r="C5" s="7">
        <v>120</v>
      </c>
      <c r="D5" s="8">
        <v>72000</v>
      </c>
      <c r="E5" s="4"/>
      <c r="F5" s="9" t="s">
        <v>2</v>
      </c>
      <c r="G5" s="21" t="s">
        <v>35</v>
      </c>
      <c r="H5" s="12">
        <f>SUMIF(C2:C9,"&lt;=100",D2:D9)</f>
        <v>306700</v>
      </c>
    </row>
    <row r="6" spans="1:8" ht="13.5">
      <c r="A6" s="5" t="s">
        <v>30</v>
      </c>
      <c r="B6" s="6">
        <v>42950</v>
      </c>
      <c r="C6" s="7">
        <v>12</v>
      </c>
      <c r="D6" s="8">
        <v>60000</v>
      </c>
      <c r="E6" s="4"/>
      <c r="F6" s="9" t="s">
        <v>0</v>
      </c>
      <c r="G6" s="21" t="s">
        <v>45</v>
      </c>
      <c r="H6" s="12">
        <f>SUMIF(A2:B9,A5,D2:D9)</f>
        <v>109800</v>
      </c>
    </row>
    <row r="7" spans="1:8" ht="13.5">
      <c r="A7" s="5" t="s">
        <v>34</v>
      </c>
      <c r="B7" s="6">
        <v>42972</v>
      </c>
      <c r="C7" s="7">
        <v>63</v>
      </c>
      <c r="D7" s="8">
        <v>37800</v>
      </c>
      <c r="E7" s="4"/>
      <c r="F7" s="9" t="s">
        <v>29</v>
      </c>
      <c r="G7" s="14">
        <v>42959</v>
      </c>
      <c r="H7" s="12">
        <f>SUMIF(B2:B9,"2017/8/12",D2:D9)</f>
        <v>122500</v>
      </c>
    </row>
    <row r="8" spans="1:8" ht="13.5">
      <c r="A8" s="5" t="s">
        <v>33</v>
      </c>
      <c r="B8" s="6">
        <v>42970</v>
      </c>
      <c r="C8" s="7">
        <v>52</v>
      </c>
      <c r="D8" s="8">
        <v>36400</v>
      </c>
      <c r="E8" s="4"/>
      <c r="F8" s="9" t="s">
        <v>29</v>
      </c>
      <c r="G8" s="21" t="s">
        <v>46</v>
      </c>
      <c r="H8" s="12">
        <f>SUMIF(B2:B9,"&lt;&gt;2017/8/12",D2:D9)</f>
        <v>424200</v>
      </c>
    </row>
    <row r="9" spans="1:8" ht="13.5">
      <c r="A9" s="5" t="s">
        <v>32</v>
      </c>
      <c r="B9" s="6">
        <v>42969</v>
      </c>
      <c r="C9" s="7">
        <v>112</v>
      </c>
      <c r="D9" s="8">
        <v>168000</v>
      </c>
      <c r="E9" s="4"/>
      <c r="F9" s="9" t="s">
        <v>0</v>
      </c>
      <c r="G9" s="21" t="s">
        <v>47</v>
      </c>
      <c r="H9" s="12">
        <f>SUMIF(A2:A9,"*ケーブル*",D2:D9)</f>
        <v>216200</v>
      </c>
    </row>
    <row r="11" ht="13.5">
      <c r="D11" s="3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9"/>
  <sheetViews>
    <sheetView workbookViewId="0" topLeftCell="A1">
      <selection activeCell="E2" sqref="E2"/>
    </sheetView>
  </sheetViews>
  <sheetFormatPr defaultColWidth="9.00390625" defaultRowHeight="13.5"/>
  <cols>
    <col min="1" max="1" width="11.625" style="0" customWidth="1"/>
    <col min="2" max="4" width="10.625" style="0" customWidth="1"/>
    <col min="5" max="5" width="16.75390625" style="0" customWidth="1"/>
  </cols>
  <sheetData>
    <row r="1" spans="1:5" ht="13.5">
      <c r="A1" s="13" t="s">
        <v>0</v>
      </c>
      <c r="B1" s="13" t="s">
        <v>8</v>
      </c>
      <c r="C1" s="13" t="s">
        <v>2</v>
      </c>
      <c r="D1" s="13" t="s">
        <v>3</v>
      </c>
      <c r="E1" s="13" t="s">
        <v>48</v>
      </c>
    </row>
    <row r="2" spans="1:5" ht="13.5">
      <c r="A2" s="5" t="s">
        <v>30</v>
      </c>
      <c r="B2" s="5" t="s">
        <v>9</v>
      </c>
      <c r="C2" s="7">
        <v>10</v>
      </c>
      <c r="D2" s="7" t="s">
        <v>31</v>
      </c>
      <c r="E2" s="15" t="str">
        <f>A2&amp;B2</f>
        <v>ルーター東京</v>
      </c>
    </row>
    <row r="3" spans="1:5" ht="13.5">
      <c r="A3" s="5" t="s">
        <v>33</v>
      </c>
      <c r="B3" s="5" t="s">
        <v>10</v>
      </c>
      <c r="C3" s="7">
        <v>35</v>
      </c>
      <c r="D3" s="8">
        <v>24500</v>
      </c>
      <c r="E3" s="15" t="str">
        <f aca="true" t="shared" si="0" ref="E3:E9">A3&amp;B3</f>
        <v>USBケーブル渋谷</v>
      </c>
    </row>
    <row r="4" spans="1:5" ht="13.5">
      <c r="A4" s="5" t="s">
        <v>33</v>
      </c>
      <c r="B4" s="5" t="s">
        <v>11</v>
      </c>
      <c r="C4" s="7">
        <v>100</v>
      </c>
      <c r="D4" s="8">
        <v>70000</v>
      </c>
      <c r="E4" s="15" t="str">
        <f t="shared" si="0"/>
        <v>USBケーブル大手町</v>
      </c>
    </row>
    <row r="5" spans="1:5" ht="13.5">
      <c r="A5" s="5" t="s">
        <v>34</v>
      </c>
      <c r="B5" s="5" t="s">
        <v>12</v>
      </c>
      <c r="C5" s="7">
        <v>120</v>
      </c>
      <c r="D5" s="8">
        <v>72000</v>
      </c>
      <c r="E5" s="15" t="str">
        <f t="shared" si="0"/>
        <v>LANケーブル神田</v>
      </c>
    </row>
    <row r="6" spans="1:5" ht="13.5">
      <c r="A6" s="5" t="s">
        <v>30</v>
      </c>
      <c r="B6" s="5" t="s">
        <v>9</v>
      </c>
      <c r="C6" s="7">
        <v>12</v>
      </c>
      <c r="D6" s="8">
        <v>60000</v>
      </c>
      <c r="E6" s="15" t="str">
        <f t="shared" si="0"/>
        <v>ルーター東京</v>
      </c>
    </row>
    <row r="7" spans="1:5" ht="13.5">
      <c r="A7" s="5" t="s">
        <v>34</v>
      </c>
      <c r="B7" s="5" t="s">
        <v>14</v>
      </c>
      <c r="C7" s="7">
        <v>63</v>
      </c>
      <c r="D7" s="8">
        <v>37800</v>
      </c>
      <c r="E7" s="15" t="str">
        <f t="shared" si="0"/>
        <v>LANケーブル代々木</v>
      </c>
    </row>
    <row r="8" spans="1:5" ht="13.5">
      <c r="A8" s="5" t="s">
        <v>33</v>
      </c>
      <c r="B8" s="5" t="s">
        <v>10</v>
      </c>
      <c r="C8" s="7">
        <v>52</v>
      </c>
      <c r="D8" s="8">
        <v>36400</v>
      </c>
      <c r="E8" s="15" t="str">
        <f t="shared" si="0"/>
        <v>USBケーブル渋谷</v>
      </c>
    </row>
    <row r="9" spans="1:5" ht="13.5">
      <c r="A9" s="5" t="s">
        <v>30</v>
      </c>
      <c r="B9" s="5" t="s">
        <v>16</v>
      </c>
      <c r="C9" s="7">
        <v>112</v>
      </c>
      <c r="D9" s="8">
        <v>55000</v>
      </c>
      <c r="E9" s="15" t="str">
        <f t="shared" si="0"/>
        <v>ルーター上野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F11"/>
  <sheetViews>
    <sheetView workbookViewId="0" topLeftCell="A1">
      <selection activeCell="F2" sqref="F2"/>
    </sheetView>
  </sheetViews>
  <sheetFormatPr defaultColWidth="9.00390625" defaultRowHeight="13.5"/>
  <cols>
    <col min="1" max="1" width="11.625" style="0" customWidth="1"/>
    <col min="2" max="4" width="10.625" style="0" customWidth="1"/>
    <col min="5" max="5" width="16.75390625" style="0" customWidth="1"/>
    <col min="6" max="6" width="10.625" style="0" customWidth="1"/>
  </cols>
  <sheetData>
    <row r="1" spans="1:6" ht="13.5">
      <c r="A1" s="13" t="s">
        <v>0</v>
      </c>
      <c r="B1" s="13" t="s">
        <v>8</v>
      </c>
      <c r="C1" s="13" t="s">
        <v>2</v>
      </c>
      <c r="D1" s="13" t="s">
        <v>3</v>
      </c>
      <c r="E1" s="13" t="s">
        <v>48</v>
      </c>
      <c r="F1" s="13" t="s">
        <v>3</v>
      </c>
    </row>
    <row r="2" spans="1:6" ht="13.5">
      <c r="A2" s="5" t="s">
        <v>30</v>
      </c>
      <c r="B2" s="5" t="s">
        <v>9</v>
      </c>
      <c r="C2" s="7">
        <v>10</v>
      </c>
      <c r="D2" s="16">
        <v>50000</v>
      </c>
      <c r="E2" s="5" t="s">
        <v>55</v>
      </c>
      <c r="F2" s="12">
        <f>SUMIF(E2:E9,"ルーター東京",D2:D9)</f>
        <v>110000</v>
      </c>
    </row>
    <row r="3" spans="1:6" ht="13.5">
      <c r="A3" s="5" t="s">
        <v>33</v>
      </c>
      <c r="B3" s="5" t="s">
        <v>10</v>
      </c>
      <c r="C3" s="7">
        <v>35</v>
      </c>
      <c r="D3" s="16">
        <v>24500</v>
      </c>
      <c r="E3" s="5" t="s">
        <v>50</v>
      </c>
      <c r="F3" s="12">
        <f>SUMIF(E2:E9,"ルーター"&amp;"東京",D2:D9)</f>
        <v>110000</v>
      </c>
    </row>
    <row r="4" spans="1:6" ht="13.5">
      <c r="A4" s="5" t="s">
        <v>33</v>
      </c>
      <c r="B4" s="5" t="s">
        <v>11</v>
      </c>
      <c r="C4" s="7">
        <v>100</v>
      </c>
      <c r="D4" s="8">
        <v>70000</v>
      </c>
      <c r="E4" s="5" t="s">
        <v>51</v>
      </c>
      <c r="F4" s="12">
        <f>SUMIF(E2:E9,E3,D2:D9)</f>
        <v>60900</v>
      </c>
    </row>
    <row r="5" spans="1:6" ht="13.5">
      <c r="A5" s="5" t="s">
        <v>34</v>
      </c>
      <c r="B5" s="5" t="s">
        <v>12</v>
      </c>
      <c r="C5" s="7">
        <v>120</v>
      </c>
      <c r="D5" s="8">
        <v>72000</v>
      </c>
      <c r="E5" s="5" t="s">
        <v>52</v>
      </c>
      <c r="F5" s="12">
        <f>SUMIF(E2:E9,A3&amp;B3,D2:D9)</f>
        <v>60900</v>
      </c>
    </row>
    <row r="6" spans="1:6" ht="13.5">
      <c r="A6" s="5" t="s">
        <v>30</v>
      </c>
      <c r="B6" s="5" t="s">
        <v>9</v>
      </c>
      <c r="C6" s="7">
        <v>12</v>
      </c>
      <c r="D6" s="8">
        <v>60000</v>
      </c>
      <c r="E6" s="5" t="s">
        <v>49</v>
      </c>
      <c r="F6" s="15"/>
    </row>
    <row r="7" spans="1:6" ht="13.5">
      <c r="A7" s="5" t="s">
        <v>34</v>
      </c>
      <c r="B7" s="5" t="s">
        <v>14</v>
      </c>
      <c r="C7" s="7">
        <v>63</v>
      </c>
      <c r="D7" s="8">
        <v>37800</v>
      </c>
      <c r="E7" s="5" t="s">
        <v>53</v>
      </c>
      <c r="F7" s="15"/>
    </row>
    <row r="8" spans="1:6" ht="13.5">
      <c r="A8" s="5" t="s">
        <v>33</v>
      </c>
      <c r="B8" s="5" t="s">
        <v>10</v>
      </c>
      <c r="C8" s="7">
        <v>52</v>
      </c>
      <c r="D8" s="8">
        <v>36400</v>
      </c>
      <c r="E8" s="5" t="s">
        <v>50</v>
      </c>
      <c r="F8" s="15"/>
    </row>
    <row r="9" spans="1:6" ht="13.5">
      <c r="A9" s="5" t="s">
        <v>30</v>
      </c>
      <c r="B9" s="5" t="s">
        <v>16</v>
      </c>
      <c r="C9" s="7">
        <v>112</v>
      </c>
      <c r="D9" s="8">
        <v>55000</v>
      </c>
      <c r="E9" s="5" t="s">
        <v>54</v>
      </c>
      <c r="F9" s="15"/>
    </row>
    <row r="11" ht="13.5">
      <c r="D11" s="2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G8"/>
  <sheetViews>
    <sheetView workbookViewId="0" topLeftCell="A1">
      <selection activeCell="G2" sqref="G2"/>
    </sheetView>
  </sheetViews>
  <sheetFormatPr defaultColWidth="9.00390625" defaultRowHeight="13.5"/>
  <cols>
    <col min="1" max="1" width="12.50390625" style="0" customWidth="1"/>
    <col min="2" max="3" width="10.625" style="0" customWidth="1"/>
    <col min="4" max="4" width="4.00390625" style="0" customWidth="1"/>
    <col min="5" max="5" width="10.625" style="0" customWidth="1"/>
    <col min="6" max="6" width="18.125" style="0" customWidth="1"/>
    <col min="7" max="7" width="10.625" style="0" customWidth="1"/>
  </cols>
  <sheetData>
    <row r="1" spans="1:7" s="17" customFormat="1" ht="13.5">
      <c r="A1" s="13" t="s">
        <v>0</v>
      </c>
      <c r="B1" s="13" t="s">
        <v>56</v>
      </c>
      <c r="C1" s="13" t="s">
        <v>3</v>
      </c>
      <c r="D1" s="10"/>
      <c r="E1" s="13" t="s">
        <v>18</v>
      </c>
      <c r="F1" s="13" t="s">
        <v>4</v>
      </c>
      <c r="G1" s="13" t="s">
        <v>3</v>
      </c>
    </row>
    <row r="2" spans="1:7" ht="13.5">
      <c r="A2" s="5" t="s">
        <v>57</v>
      </c>
      <c r="B2" s="7">
        <v>200</v>
      </c>
      <c r="C2" s="8">
        <v>8000</v>
      </c>
      <c r="D2" s="20"/>
      <c r="E2" s="9" t="s">
        <v>0</v>
      </c>
      <c r="F2" s="5" t="s">
        <v>60</v>
      </c>
      <c r="G2" s="12">
        <f>SUMIF(A2:A8,"りんご(国内産)",C2:C8)</f>
        <v>10000</v>
      </c>
    </row>
    <row r="3" spans="1:7" ht="13.5">
      <c r="A3" s="5" t="s">
        <v>59</v>
      </c>
      <c r="B3" s="7">
        <v>150</v>
      </c>
      <c r="C3" s="8">
        <v>3000</v>
      </c>
      <c r="D3" s="4"/>
      <c r="E3" s="9" t="s">
        <v>0</v>
      </c>
      <c r="F3" s="5" t="s">
        <v>61</v>
      </c>
      <c r="G3" s="12">
        <f>SUMIF(A2:A8,"&lt;&gt;りんご(国内産)",C2:C8)</f>
        <v>24000</v>
      </c>
    </row>
    <row r="4" spans="1:7" ht="13.5">
      <c r="A4" s="5" t="s">
        <v>57</v>
      </c>
      <c r="B4" s="7">
        <v>200</v>
      </c>
      <c r="C4" s="8">
        <v>2000</v>
      </c>
      <c r="D4" s="2"/>
      <c r="E4" s="9" t="s">
        <v>0</v>
      </c>
      <c r="F4" s="5" t="s">
        <v>62</v>
      </c>
      <c r="G4" s="12">
        <f>SUMIF(A2:A8,"",C2:C8)</f>
        <v>2500</v>
      </c>
    </row>
    <row r="5" spans="1:7" ht="13.5">
      <c r="A5" s="5"/>
      <c r="B5" s="7">
        <v>500</v>
      </c>
      <c r="C5" s="8">
        <v>2500</v>
      </c>
      <c r="D5" s="2"/>
      <c r="E5" s="9" t="s">
        <v>0</v>
      </c>
      <c r="F5" s="5" t="s">
        <v>63</v>
      </c>
      <c r="G5" s="12">
        <f>SUMIF(A2:A8,"&lt;&gt;"&amp;"",C2:C8)</f>
        <v>31500</v>
      </c>
    </row>
    <row r="6" spans="1:7" ht="13.5">
      <c r="A6" s="5" t="s">
        <v>59</v>
      </c>
      <c r="B6" s="7">
        <v>150</v>
      </c>
      <c r="C6" s="8">
        <v>6000</v>
      </c>
      <c r="D6" s="2"/>
      <c r="E6" s="9" t="s">
        <v>0</v>
      </c>
      <c r="F6" s="5" t="s">
        <v>66</v>
      </c>
      <c r="G6" s="12">
        <f>SUMIF(A2:A8,"&lt;&gt;"&amp;A8,C2:C8)</f>
        <v>29000</v>
      </c>
    </row>
    <row r="7" spans="1:7" ht="13.5">
      <c r="A7" s="5" t="s">
        <v>59</v>
      </c>
      <c r="B7" s="7">
        <v>150</v>
      </c>
      <c r="C7" s="8">
        <v>7500</v>
      </c>
      <c r="D7" s="2"/>
      <c r="E7" s="9" t="s">
        <v>3</v>
      </c>
      <c r="F7" s="5" t="s">
        <v>65</v>
      </c>
      <c r="G7" s="12">
        <f>SUMIF(C2:C8,"&gt;"&amp;C8,C2:C8)</f>
        <v>21500</v>
      </c>
    </row>
    <row r="8" spans="1:7" ht="13.5">
      <c r="A8" s="5" t="s">
        <v>58</v>
      </c>
      <c r="B8" s="7">
        <v>100</v>
      </c>
      <c r="C8" s="8">
        <v>5000</v>
      </c>
      <c r="D8" s="2"/>
      <c r="E8" s="9" t="s">
        <v>0</v>
      </c>
      <c r="F8" s="5" t="s">
        <v>64</v>
      </c>
      <c r="G8" s="12">
        <f>SUMIF(A2:A8,"*りんご*",C2:C8)</f>
        <v>15000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G8"/>
  <sheetViews>
    <sheetView workbookViewId="0" topLeftCell="A1">
      <selection activeCell="F1" sqref="F1"/>
    </sheetView>
  </sheetViews>
  <sheetFormatPr defaultColWidth="9.00390625" defaultRowHeight="13.5"/>
  <cols>
    <col min="1" max="1" width="12.625" style="0" customWidth="1"/>
    <col min="2" max="4" width="10.625" style="0" customWidth="1"/>
    <col min="5" max="5" width="4.00390625" style="0" customWidth="1"/>
    <col min="6" max="6" width="19.625" style="0" customWidth="1"/>
    <col min="7" max="7" width="10.625" style="0" customWidth="1"/>
  </cols>
  <sheetData>
    <row r="1" spans="1:7" s="17" customFormat="1" ht="13.5">
      <c r="A1" s="11" t="s">
        <v>0</v>
      </c>
      <c r="B1" s="11" t="s">
        <v>29</v>
      </c>
      <c r="C1" s="11" t="s">
        <v>56</v>
      </c>
      <c r="D1" s="11" t="s">
        <v>3</v>
      </c>
      <c r="E1" s="10"/>
      <c r="F1" s="11" t="s">
        <v>4</v>
      </c>
      <c r="G1" s="11" t="s">
        <v>3</v>
      </c>
    </row>
    <row r="2" spans="1:7" ht="13.5">
      <c r="A2" s="5" t="s">
        <v>57</v>
      </c>
      <c r="B2" s="23">
        <v>43101</v>
      </c>
      <c r="C2" s="7">
        <v>200</v>
      </c>
      <c r="D2" s="8">
        <v>8000</v>
      </c>
      <c r="E2" s="4"/>
      <c r="F2" s="5" t="s">
        <v>67</v>
      </c>
      <c r="G2" s="12">
        <f>SUMIF(B2:B8,"2018/1/15",D2:D8)</f>
        <v>2000</v>
      </c>
    </row>
    <row r="3" spans="1:7" ht="13.5">
      <c r="A3" s="5" t="s">
        <v>59</v>
      </c>
      <c r="B3" s="23">
        <v>43102</v>
      </c>
      <c r="C3" s="7">
        <v>150</v>
      </c>
      <c r="D3" s="8">
        <v>3000</v>
      </c>
      <c r="E3" s="4"/>
      <c r="F3" s="5" t="s">
        <v>68</v>
      </c>
      <c r="G3" s="12">
        <f ca="1">SUMIF(B2:B8,"&gt;="&amp;TODAY(),D2:D8)</f>
        <v>11000</v>
      </c>
    </row>
    <row r="4" spans="1:7" ht="13.5">
      <c r="A4" s="5" t="s">
        <v>57</v>
      </c>
      <c r="B4" s="23">
        <v>43115</v>
      </c>
      <c r="C4" s="7">
        <v>200</v>
      </c>
      <c r="D4" s="8">
        <v>2000</v>
      </c>
      <c r="E4" s="4"/>
      <c r="F4" s="5" t="s">
        <v>69</v>
      </c>
      <c r="G4" s="12">
        <f>SUMIF(B2:B8,"&gt;="&amp;B7,D2:D8)</f>
        <v>18500</v>
      </c>
    </row>
    <row r="5" spans="1:7" ht="13.5">
      <c r="A5" s="5"/>
      <c r="B5" s="23">
        <v>43108</v>
      </c>
      <c r="C5" s="7">
        <v>500</v>
      </c>
      <c r="D5" s="8">
        <v>2500</v>
      </c>
      <c r="E5" s="4"/>
      <c r="F5" s="1"/>
      <c r="G5" s="2"/>
    </row>
    <row r="6" spans="1:7" ht="13.5">
      <c r="A6" s="5" t="s">
        <v>59</v>
      </c>
      <c r="B6" s="23">
        <v>43133</v>
      </c>
      <c r="C6" s="7">
        <v>150</v>
      </c>
      <c r="D6" s="8">
        <v>6000</v>
      </c>
      <c r="E6" s="4"/>
      <c r="F6" s="1"/>
      <c r="G6" s="2"/>
    </row>
    <row r="7" spans="1:7" ht="13.5">
      <c r="A7" s="5" t="s">
        <v>59</v>
      </c>
      <c r="B7" s="23">
        <v>43120</v>
      </c>
      <c r="C7" s="7">
        <v>150</v>
      </c>
      <c r="D7" s="8">
        <v>7500</v>
      </c>
      <c r="E7" s="4"/>
      <c r="F7" s="1"/>
      <c r="G7" s="2"/>
    </row>
    <row r="8" spans="1:7" ht="13.5">
      <c r="A8" s="5" t="s">
        <v>58</v>
      </c>
      <c r="B8" s="23">
        <v>43134</v>
      </c>
      <c r="C8" s="7">
        <v>100</v>
      </c>
      <c r="D8" s="8">
        <v>5000</v>
      </c>
      <c r="E8" s="4"/>
      <c r="F8" s="1"/>
      <c r="G8" s="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H8"/>
  <sheetViews>
    <sheetView tabSelected="1" workbookViewId="0" topLeftCell="A1">
      <selection activeCell="H2" sqref="H2"/>
    </sheetView>
  </sheetViews>
  <sheetFormatPr defaultColWidth="9.00390625" defaultRowHeight="13.5"/>
  <cols>
    <col min="1" max="2" width="12.875" style="0" customWidth="1"/>
    <col min="3" max="4" width="10.625" style="0" customWidth="1"/>
    <col min="5" max="5" width="4.00390625" style="0" customWidth="1"/>
    <col min="6" max="6" width="20.75390625" style="0" customWidth="1"/>
    <col min="7" max="7" width="14.50390625" style="0" customWidth="1"/>
    <col min="8" max="8" width="10.625" style="0" customWidth="1"/>
  </cols>
  <sheetData>
    <row r="1" spans="1:8" s="17" customFormat="1" ht="13.5">
      <c r="A1" s="18" t="s">
        <v>0</v>
      </c>
      <c r="B1" s="18" t="s">
        <v>29</v>
      </c>
      <c r="C1" s="18" t="s">
        <v>56</v>
      </c>
      <c r="D1" s="18" t="s">
        <v>3</v>
      </c>
      <c r="E1" s="10"/>
      <c r="F1" s="26" t="s">
        <v>72</v>
      </c>
      <c r="G1" s="24" t="s">
        <v>4</v>
      </c>
      <c r="H1" s="18" t="s">
        <v>3</v>
      </c>
    </row>
    <row r="2" spans="1:8" ht="13.5">
      <c r="A2" s="5" t="s">
        <v>57</v>
      </c>
      <c r="B2" s="23">
        <v>43105</v>
      </c>
      <c r="C2" s="7">
        <v>200</v>
      </c>
      <c r="D2" s="8">
        <v>8000</v>
      </c>
      <c r="E2" s="4"/>
      <c r="F2" s="27" t="s">
        <v>70</v>
      </c>
      <c r="G2" s="25" t="s">
        <v>67</v>
      </c>
      <c r="H2" s="12">
        <f>SUMIF(B2:B8,"&gt;=2017/12/30",D2:D8)-SUMIF(B2:B8,"&gt;=2018/1/6",D2:D8)</f>
        <v>19000</v>
      </c>
    </row>
    <row r="3" spans="1:8" ht="13.5">
      <c r="A3" s="5" t="s">
        <v>59</v>
      </c>
      <c r="B3" s="23">
        <v>43097</v>
      </c>
      <c r="C3" s="7">
        <v>150</v>
      </c>
      <c r="D3" s="8">
        <v>3000</v>
      </c>
      <c r="E3" s="4"/>
      <c r="F3" s="28"/>
      <c r="G3" s="25" t="s">
        <v>71</v>
      </c>
      <c r="H3" s="12">
        <f>SUMIF(B2:B8,"&gt;="&amp;B8,D2:D8)-SUMIF(B2:B8,"&gt;"&amp;B2,D2:D8)</f>
        <v>19000</v>
      </c>
    </row>
    <row r="4" spans="1:8" ht="13.5">
      <c r="A4" s="5" t="s">
        <v>57</v>
      </c>
      <c r="B4" s="23">
        <v>43115</v>
      </c>
      <c r="C4" s="7">
        <v>200</v>
      </c>
      <c r="D4" s="8">
        <v>2000</v>
      </c>
      <c r="E4" s="4"/>
      <c r="F4" s="1"/>
      <c r="G4" s="1"/>
      <c r="H4" s="2"/>
    </row>
    <row r="5" spans="1:8" ht="13.5">
      <c r="A5" s="5"/>
      <c r="B5" s="23">
        <v>43108</v>
      </c>
      <c r="C5" s="7">
        <v>500</v>
      </c>
      <c r="D5" s="8">
        <v>2500</v>
      </c>
      <c r="E5" s="4"/>
      <c r="F5" s="1"/>
      <c r="G5" s="1"/>
      <c r="H5" s="2"/>
    </row>
    <row r="6" spans="1:8" ht="13.5">
      <c r="A6" s="5" t="s">
        <v>59</v>
      </c>
      <c r="B6" s="23">
        <v>43100</v>
      </c>
      <c r="C6" s="7">
        <v>150</v>
      </c>
      <c r="D6" s="8">
        <v>6000</v>
      </c>
      <c r="E6" s="4"/>
      <c r="F6" s="1"/>
      <c r="G6" s="1"/>
      <c r="H6" s="2"/>
    </row>
    <row r="7" spans="1:8" ht="13.5">
      <c r="A7" s="5" t="s">
        <v>59</v>
      </c>
      <c r="B7" s="23">
        <v>43112</v>
      </c>
      <c r="C7" s="7">
        <v>150</v>
      </c>
      <c r="D7" s="8">
        <v>7500</v>
      </c>
      <c r="E7" s="4"/>
      <c r="F7" s="1"/>
      <c r="G7" s="1"/>
      <c r="H7" s="2"/>
    </row>
    <row r="8" spans="1:8" ht="13.5">
      <c r="A8" s="5" t="s">
        <v>58</v>
      </c>
      <c r="B8" s="23">
        <v>43099</v>
      </c>
      <c r="C8" s="7">
        <v>100</v>
      </c>
      <c r="D8" s="8">
        <v>5000</v>
      </c>
      <c r="E8" s="4"/>
      <c r="F8" s="1"/>
      <c r="G8" s="1"/>
      <c r="H8" s="2"/>
    </row>
  </sheetData>
  <mergeCells count="1">
    <mergeCell ref="F2:F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hikari</cp:lastModifiedBy>
  <dcterms:created xsi:type="dcterms:W3CDTF">1997-01-08T22:48:59Z</dcterms:created>
  <dcterms:modified xsi:type="dcterms:W3CDTF">2018-01-31T18:44:52Z</dcterms:modified>
  <cp:category/>
  <cp:version/>
  <cp:contentType/>
  <cp:contentStatus/>
</cp:coreProperties>
</file>